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risztina\Documents\Kari Tanács\Kari Tanács 2019-20\2020. április 9\"/>
    </mc:Choice>
  </mc:AlternateContent>
  <bookViews>
    <workbookView xWindow="0" yWindow="0" windowWidth="23040" windowHeight="9192"/>
  </bookViews>
  <sheets>
    <sheet name="2020" sheetId="1" r:id="rId1"/>
    <sheet name="Oktatás változás" sheetId="3" r:id="rId2"/>
    <sheet name="Munka1" sheetId="4" r:id="rId3"/>
  </sheets>
  <calcPr calcId="162913"/>
</workbook>
</file>

<file path=xl/calcChain.xml><?xml version="1.0" encoding="utf-8"?>
<calcChain xmlns="http://schemas.openxmlformats.org/spreadsheetml/2006/main">
  <c r="F44" i="1" l="1"/>
  <c r="L35" i="1" l="1"/>
  <c r="C35" i="1" l="1"/>
  <c r="C9" i="3" l="1"/>
  <c r="D4" i="3" s="1"/>
  <c r="B9" i="3"/>
  <c r="D3" i="3" l="1"/>
  <c r="D7" i="3"/>
  <c r="D6" i="3"/>
  <c r="D8" i="3"/>
  <c r="D5" i="3"/>
  <c r="O37" i="1" l="1"/>
  <c r="C26" i="1" l="1"/>
  <c r="D30" i="1" l="1"/>
  <c r="D31" i="1" l="1"/>
  <c r="D34" i="1"/>
  <c r="D29" i="1"/>
  <c r="D33" i="1"/>
  <c r="D32" i="1"/>
  <c r="D35" i="1" l="1"/>
  <c r="C16" i="1" l="1"/>
  <c r="D44" i="1" l="1"/>
  <c r="L26" i="1" l="1"/>
  <c r="M23" i="1" s="1"/>
  <c r="M20" i="1" l="1"/>
  <c r="M25" i="1"/>
  <c r="M21" i="1"/>
  <c r="M24" i="1"/>
  <c r="M22" i="1"/>
  <c r="C5" i="1" l="1"/>
  <c r="B5" i="1" s="1"/>
  <c r="D7" i="1" l="1"/>
  <c r="C3" i="1" l="1"/>
  <c r="F26" i="1"/>
  <c r="I26" i="1"/>
  <c r="E20" i="1" l="1"/>
  <c r="D20" i="1"/>
  <c r="B3" i="1"/>
  <c r="N35" i="1" l="1"/>
  <c r="C4" i="1" l="1"/>
  <c r="B4" i="1" s="1"/>
  <c r="C6" i="1"/>
  <c r="B6" i="1" s="1"/>
  <c r="G22" i="1"/>
  <c r="J20" i="1"/>
  <c r="J25" i="1"/>
  <c r="N21" i="1" l="1"/>
  <c r="N25" i="1"/>
  <c r="N22" i="1"/>
  <c r="N20" i="1"/>
  <c r="N23" i="1"/>
  <c r="N24" i="1"/>
  <c r="G25" i="1"/>
  <c r="J23" i="1"/>
  <c r="J21" i="1"/>
  <c r="K24" i="1"/>
  <c r="J22" i="1"/>
  <c r="K23" i="1"/>
  <c r="J24" i="1"/>
  <c r="K22" i="1"/>
  <c r="K25" i="1"/>
  <c r="K20" i="1"/>
  <c r="K21" i="1"/>
  <c r="C7" i="1"/>
  <c r="D16" i="1" s="1"/>
  <c r="E16" i="1" s="1"/>
  <c r="H21" i="1"/>
  <c r="H20" i="1"/>
  <c r="H24" i="1"/>
  <c r="G24" i="1"/>
  <c r="G21" i="1"/>
  <c r="G20" i="1"/>
  <c r="G23" i="1"/>
  <c r="H22" i="1"/>
  <c r="H23" i="1"/>
  <c r="H25" i="1"/>
  <c r="D21" i="1"/>
  <c r="D25" i="1"/>
  <c r="E22" i="1"/>
  <c r="D24" i="1"/>
  <c r="E23" i="1"/>
  <c r="E25" i="1"/>
  <c r="D23" i="1"/>
  <c r="E21" i="1"/>
  <c r="E24" i="1"/>
  <c r="D22" i="1"/>
  <c r="O20" i="1" l="1"/>
  <c r="E29" i="1" s="1"/>
  <c r="D10" i="1"/>
  <c r="O25" i="1"/>
  <c r="E34" i="1" s="1"/>
  <c r="O22" i="1"/>
  <c r="E31" i="1" s="1"/>
  <c r="O24" i="1"/>
  <c r="E33" i="1" s="1"/>
  <c r="O23" i="1"/>
  <c r="E32" i="1" s="1"/>
  <c r="O21" i="1"/>
  <c r="E30" i="1" s="1"/>
  <c r="G26" i="1"/>
  <c r="D26" i="1"/>
  <c r="J26" i="1"/>
  <c r="E26" i="1"/>
  <c r="H26" i="1"/>
  <c r="K26" i="1"/>
  <c r="M26" i="1"/>
  <c r="N26" i="1"/>
  <c r="E35" i="1" l="1"/>
  <c r="G29" i="1"/>
  <c r="F29" i="1"/>
  <c r="O26" i="1"/>
  <c r="I29" i="1" l="1"/>
  <c r="I34" i="1"/>
  <c r="I30" i="1"/>
  <c r="I31" i="1"/>
  <c r="I32" i="1"/>
  <c r="I33" i="1"/>
  <c r="D12" i="1"/>
  <c r="G31" i="1" s="1"/>
  <c r="F31" i="1" l="1"/>
  <c r="D11" i="1"/>
  <c r="G30" i="1" s="1"/>
  <c r="D13" i="1"/>
  <c r="G32" i="1" s="1"/>
  <c r="D14" i="1"/>
  <c r="G33" i="1" s="1"/>
  <c r="D15" i="1"/>
  <c r="G34" i="1" s="1"/>
  <c r="F30" i="1" l="1"/>
  <c r="F34" i="1"/>
  <c r="F33" i="1"/>
  <c r="F32" i="1"/>
  <c r="J31" i="1"/>
  <c r="J29" i="1" l="1"/>
  <c r="J30" i="1"/>
  <c r="J34" i="1"/>
  <c r="H31" i="1"/>
  <c r="M31" i="1"/>
  <c r="O31" i="1" s="1"/>
  <c r="J33" i="1"/>
  <c r="J32" i="1"/>
  <c r="H30" i="1" l="1"/>
  <c r="H32" i="1"/>
  <c r="H34" i="1"/>
  <c r="H29" i="1"/>
  <c r="J35" i="1"/>
  <c r="M30" i="1"/>
  <c r="O30" i="1" s="1"/>
  <c r="M29" i="1"/>
  <c r="O29" i="1" s="1"/>
  <c r="M34" i="1"/>
  <c r="O34" i="1" s="1"/>
  <c r="M32" i="1"/>
  <c r="O32" i="1" s="1"/>
  <c r="C41" i="1" s="1"/>
  <c r="E41" i="1" s="1"/>
  <c r="G41" i="1" s="1"/>
  <c r="M33" i="1"/>
  <c r="O33" i="1" s="1"/>
  <c r="H33" i="1"/>
  <c r="C40" i="1"/>
  <c r="E40" i="1" l="1"/>
  <c r="G40" i="1" s="1"/>
  <c r="C39" i="1"/>
  <c r="C43" i="1"/>
  <c r="G35" i="1"/>
  <c r="C42" i="1"/>
  <c r="E42" i="1" s="1"/>
  <c r="G42" i="1" s="1"/>
  <c r="C38" i="1"/>
  <c r="E38" i="1" s="1"/>
  <c r="G38" i="1" s="1"/>
  <c r="O35" i="1"/>
  <c r="O38" i="1" s="1"/>
  <c r="K31" i="1"/>
  <c r="K34" i="1"/>
  <c r="K30" i="1"/>
  <c r="K29" i="1"/>
  <c r="M35" i="1"/>
  <c r="K32" i="1"/>
  <c r="K33" i="1"/>
  <c r="E39" i="1" l="1"/>
  <c r="G39" i="1" s="1"/>
  <c r="E43" i="1"/>
  <c r="G43" i="1" s="1"/>
  <c r="C44" i="1"/>
  <c r="G44" i="1" l="1"/>
  <c r="E44" i="1"/>
</calcChain>
</file>

<file path=xl/sharedStrings.xml><?xml version="1.0" encoding="utf-8"?>
<sst xmlns="http://schemas.openxmlformats.org/spreadsheetml/2006/main" count="91" uniqueCount="52">
  <si>
    <t>Ft</t>
  </si>
  <si>
    <t>%</t>
  </si>
  <si>
    <t xml:space="preserve">Anyagmozgatási és Logisztikai Rendszerek Tanszék </t>
  </si>
  <si>
    <t>Járműelemek és Jármű-szerkezetanalízis Tanszék</t>
  </si>
  <si>
    <t>Közlekedés- és Járműirányítási Tanszék</t>
  </si>
  <si>
    <t>Közlekedésüzemi és Közlekedésgazdasági Tanszék</t>
  </si>
  <si>
    <t xml:space="preserve">Vasúti Járművek, Repülőgépek és Hajók Tanszék  </t>
  </si>
  <si>
    <t>fő</t>
  </si>
  <si>
    <t>pont</t>
  </si>
  <si>
    <t>Csillapítás
+ kap
- ad</t>
  </si>
  <si>
    <t>Kiindulási adatok</t>
  </si>
  <si>
    <t>Tanszékekre jutó összes támogatás csillapítás nélkül</t>
  </si>
  <si>
    <t>„Alkalmazottak</t>
  </si>
  <si>
    <t>„Tudományos pontok</t>
  </si>
  <si>
    <t>„Államilag támogatott doktorandusz hallgatók létszáma</t>
  </si>
  <si>
    <t>"Kari oktatási terhelésszámítási metódus alapján"</t>
  </si>
  <si>
    <r>
      <t xml:space="preserve">Tanszékekre jutó összes támogatás </t>
    </r>
    <r>
      <rPr>
        <b/>
        <u/>
        <sz val="12"/>
        <color theme="1"/>
        <rFont val="Calibri"/>
        <family val="2"/>
        <charset val="238"/>
        <scheme val="minor"/>
      </rPr>
      <t>csillapítással</t>
    </r>
  </si>
  <si>
    <t>Rendkívüli kari támogatás</t>
  </si>
  <si>
    <t>Számított támogatás:</t>
  </si>
  <si>
    <t>Csillapítás:</t>
  </si>
  <si>
    <r>
      <t xml:space="preserve">B1 </t>
    </r>
    <r>
      <rPr>
        <sz val="12"/>
        <color theme="1"/>
        <rFont val="Calibri"/>
        <family val="2"/>
        <charset val="238"/>
        <scheme val="minor"/>
      </rPr>
      <t>Támogatás részletesen</t>
    </r>
  </si>
  <si>
    <r>
      <rPr>
        <b/>
        <sz val="24"/>
        <color theme="1"/>
        <rFont val="Calibri"/>
        <family val="2"/>
        <charset val="238"/>
        <scheme val="minor"/>
      </rPr>
      <t>B2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Támogatás csillapítással</t>
    </r>
  </si>
  <si>
    <r>
      <rPr>
        <b/>
        <sz val="24"/>
        <color theme="1"/>
        <rFont val="Calibri"/>
        <family val="2"/>
        <charset val="238"/>
        <scheme val="minor"/>
      </rPr>
      <t>B3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Tájékoztató adatok</t>
    </r>
  </si>
  <si>
    <t>Az A3 táblázat adatai alapján a csillapítás alsó határ 
"-L2%"</t>
  </si>
  <si>
    <t>Az A3 táblázat adatai alapján a csillapítás felső határ 
"+L3%"</t>
  </si>
  <si>
    <t>le</t>
  </si>
  <si>
    <t>fel</t>
  </si>
  <si>
    <t>Gépjárműtechnológia Tanszék</t>
  </si>
  <si>
    <t>A</t>
  </si>
  <si>
    <t>+</t>
  </si>
  <si>
    <t>Számított terület</t>
  </si>
  <si>
    <t>Terület költségek</t>
  </si>
  <si>
    <t>A2
Tavalyi 2019 évi támogatás, csillapítással</t>
  </si>
  <si>
    <t>A3
Tavalyi, 2019 évi támogatás a 2020 évi bázisra számolva</t>
  </si>
  <si>
    <t>Tanszékekre jutó összes támogatás csillapítással és a klíringgel</t>
  </si>
  <si>
    <t>Tanszékekre kiosztott keret
2020-03-03</t>
  </si>
  <si>
    <t>5%-át az „Államilag támogatott doktorandusz hallgatók létszáma"</t>
  </si>
  <si>
    <t>Egyenleg (+ még kap a tanszék/
- tartozik a tanszék)</t>
  </si>
  <si>
    <t>20%-át a „Tudományos pontok"
Személyi_állomány_BME_Karok_Oktató_Kutató_HATÁROZATLAN_20200201_v3_KJK</t>
  </si>
  <si>
    <t>10%-át az „Alkalmazottak" Nem számolunk ezzel</t>
  </si>
  <si>
    <t>Tanszékekre jutó összes támogatás, terület nélkül</t>
  </si>
  <si>
    <t>75%-át  "Kari oktatási terhelésszámítási metódus alapján" 
BME_oktatasi_terheles_2019_v2.41_MF_KJK</t>
  </si>
  <si>
    <t>Oktatási teljesítmény változás</t>
  </si>
  <si>
    <t>Tanszékekre jutó támogatás a klíring elszámolása után</t>
  </si>
  <si>
    <t>Tanszékekre jutó összes, tényleges 2020 támogatás a klíring elszámolása után</t>
  </si>
  <si>
    <t>Terület arányok
terulet_2018_40_KJK_2020_03_13</t>
  </si>
  <si>
    <t>A klíring elszámolás (2019_kari kliring_v2020_03_19)</t>
  </si>
  <si>
    <t>A 10001 és 11006 témaszámok egyenlege 2020.03.19</t>
  </si>
  <si>
    <t>Rendelkezésre álló forrás
2020.03.19</t>
  </si>
  <si>
    <t>ver: 6</t>
  </si>
  <si>
    <t>2020_03_19</t>
  </si>
  <si>
    <t>3. sz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</si>
</sst>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t_-;\-* #,##0.00\ _F_t_-;_-* &quot;-&quot;??\ _F_t_-;_-@_-"/>
    <numFmt numFmtId="165" formatCode="0.0"/>
    <numFmt numFmtId="166" formatCode="#,##0.0"/>
    <numFmt numFmtId="167" formatCode="#,##0\ &quot;Ft&quot;"/>
    <numFmt numFmtId="168" formatCode="0.0%"/>
    <numFmt numFmtId="169" formatCode="_-* #,##0\ _F_t_-;\-* #,##0\ _F_t_-;_-* &quot;-&quot;??\ _F_t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2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3" fontId="0" fillId="0" borderId="0" xfId="0" applyNumberFormat="1" applyFont="1"/>
    <xf numFmtId="167" fontId="0" fillId="0" borderId="0" xfId="0" applyNumberFormat="1" applyFont="1" applyBorder="1"/>
    <xf numFmtId="165" fontId="0" fillId="0" borderId="0" xfId="0" applyNumberFormat="1" applyFont="1"/>
    <xf numFmtId="0" fontId="3" fillId="0" borderId="0" xfId="0" applyFont="1"/>
    <xf numFmtId="167" fontId="0" fillId="0" borderId="1" xfId="0" applyNumberFormat="1" applyFont="1" applyFill="1" applyBorder="1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167" fontId="0" fillId="0" borderId="1" xfId="0" applyNumberFormat="1" applyFont="1" applyFill="1" applyBorder="1" applyAlignment="1"/>
    <xf numFmtId="167" fontId="10" fillId="0" borderId="1" xfId="0" applyNumberFormat="1" applyFont="1" applyFill="1" applyBorder="1" applyAlignment="1"/>
    <xf numFmtId="167" fontId="0" fillId="0" borderId="1" xfId="0" applyNumberFormat="1" applyFont="1" applyBorder="1" applyAlignment="1"/>
    <xf numFmtId="0" fontId="0" fillId="0" borderId="0" xfId="0" applyFont="1" applyFill="1"/>
    <xf numFmtId="167" fontId="0" fillId="0" borderId="0" xfId="0" applyNumberFormat="1" applyFont="1" applyFill="1" applyBorder="1"/>
    <xf numFmtId="9" fontId="0" fillId="0" borderId="1" xfId="1" applyFont="1" applyFill="1" applyBorder="1" applyAlignment="1">
      <alignment vertical="center" wrapText="1"/>
    </xf>
    <xf numFmtId="165" fontId="0" fillId="0" borderId="0" xfId="0" applyNumberFormat="1" applyFont="1" applyFill="1"/>
    <xf numFmtId="9" fontId="0" fillId="0" borderId="0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8" fontId="0" fillId="0" borderId="0" xfId="1" applyNumberFormat="1" applyFont="1" applyFill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right" vertical="center"/>
    </xf>
    <xf numFmtId="167" fontId="3" fillId="0" borderId="1" xfId="0" applyNumberFormat="1" applyFont="1" applyBorder="1"/>
    <xf numFmtId="0" fontId="3" fillId="0" borderId="0" xfId="0" applyFont="1" applyAlignment="1">
      <alignment vertical="center"/>
    </xf>
    <xf numFmtId="167" fontId="3" fillId="0" borderId="8" xfId="0" applyNumberFormat="1" applyFont="1" applyBorder="1"/>
    <xf numFmtId="0" fontId="3" fillId="0" borderId="8" xfId="0" applyFont="1" applyBorder="1" applyAlignment="1">
      <alignment horizontal="right" vertical="center"/>
    </xf>
    <xf numFmtId="167" fontId="3" fillId="0" borderId="7" xfId="0" applyNumberFormat="1" applyFont="1" applyBorder="1"/>
    <xf numFmtId="167" fontId="3" fillId="0" borderId="0" xfId="0" applyNumberFormat="1" applyFont="1"/>
    <xf numFmtId="0" fontId="13" fillId="0" borderId="0" xfId="0" applyFont="1"/>
    <xf numFmtId="3" fontId="0" fillId="0" borderId="1" xfId="0" applyNumberFormat="1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 vertical="center" wrapText="1"/>
    </xf>
    <xf numFmtId="167" fontId="6" fillId="3" borderId="11" xfId="0" applyNumberFormat="1" applyFont="1" applyFill="1" applyBorder="1" applyAlignment="1"/>
    <xf numFmtId="0" fontId="14" fillId="0" borderId="12" xfId="0" applyFont="1" applyBorder="1"/>
    <xf numFmtId="3" fontId="3" fillId="0" borderId="12" xfId="0" applyNumberFormat="1" applyFont="1" applyBorder="1" applyAlignment="1">
      <alignment horizontal="left"/>
    </xf>
    <xf numFmtId="0" fontId="3" fillId="0" borderId="12" xfId="0" applyFont="1" applyBorder="1"/>
    <xf numFmtId="0" fontId="5" fillId="0" borderId="12" xfId="0" applyFont="1" applyFill="1" applyBorder="1"/>
    <xf numFmtId="0" fontId="5" fillId="0" borderId="12" xfId="0" applyFont="1" applyFill="1" applyBorder="1" applyAlignment="1">
      <alignment horizontal="right"/>
    </xf>
    <xf numFmtId="0" fontId="7" fillId="0" borderId="12" xfId="0" applyFont="1" applyBorder="1"/>
    <xf numFmtId="0" fontId="3" fillId="0" borderId="12" xfId="0" applyFont="1" applyBorder="1" applyAlignment="1">
      <alignment wrapText="1"/>
    </xf>
    <xf numFmtId="0" fontId="0" fillId="0" borderId="12" xfId="0" applyFont="1" applyFill="1" applyBorder="1"/>
    <xf numFmtId="0" fontId="0" fillId="0" borderId="12" xfId="0" applyFont="1" applyFill="1" applyBorder="1" applyAlignment="1">
      <alignment wrapText="1"/>
    </xf>
    <xf numFmtId="0" fontId="2" fillId="0" borderId="12" xfId="0" applyFont="1" applyBorder="1"/>
    <xf numFmtId="0" fontId="0" fillId="0" borderId="12" xfId="0" applyFont="1" applyBorder="1"/>
    <xf numFmtId="0" fontId="15" fillId="0" borderId="12" xfId="0" applyFont="1" applyFill="1" applyBorder="1"/>
    <xf numFmtId="0" fontId="15" fillId="0" borderId="0" xfId="0" applyFont="1" applyFill="1"/>
    <xf numFmtId="167" fontId="15" fillId="0" borderId="0" xfId="0" applyNumberFormat="1" applyFont="1" applyFill="1"/>
    <xf numFmtId="3" fontId="0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12" xfId="0" applyFont="1" applyFill="1" applyBorder="1"/>
    <xf numFmtId="3" fontId="5" fillId="0" borderId="12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3" fillId="0" borderId="12" xfId="0" applyFont="1" applyFill="1" applyBorder="1" applyAlignment="1">
      <alignment wrapText="1"/>
    </xf>
    <xf numFmtId="3" fontId="5" fillId="0" borderId="0" xfId="0" applyNumberFormat="1" applyFont="1" applyFill="1" applyBorder="1"/>
    <xf numFmtId="0" fontId="5" fillId="0" borderId="0" xfId="0" applyFont="1" applyFill="1" applyBorder="1"/>
    <xf numFmtId="167" fontId="0" fillId="0" borderId="0" xfId="0" applyNumberFormat="1" applyFont="1"/>
    <xf numFmtId="3" fontId="0" fillId="0" borderId="0" xfId="0" applyNumberFormat="1" applyFont="1" applyBorder="1"/>
    <xf numFmtId="0" fontId="0" fillId="0" borderId="1" xfId="0" applyFont="1" applyFill="1" applyBorder="1" applyAlignment="1">
      <alignment horizontal="center" vertical="center" wrapText="1"/>
    </xf>
    <xf numFmtId="167" fontId="0" fillId="0" borderId="16" xfId="0" applyNumberFormat="1" applyFont="1" applyFill="1" applyBorder="1" applyAlignment="1"/>
    <xf numFmtId="167" fontId="0" fillId="0" borderId="17" xfId="0" applyNumberFormat="1" applyFont="1" applyFill="1" applyBorder="1" applyAlignment="1"/>
    <xf numFmtId="0" fontId="0" fillId="0" borderId="0" xfId="0" applyFont="1" applyBorder="1"/>
    <xf numFmtId="4" fontId="0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167" fontId="10" fillId="3" borderId="0" xfId="0" applyNumberFormat="1" applyFont="1" applyFill="1" applyBorder="1"/>
    <xf numFmtId="0" fontId="0" fillId="0" borderId="1" xfId="0" applyFont="1" applyFill="1" applyBorder="1" applyAlignment="1">
      <alignment horizontal="center" vertical="center"/>
    </xf>
    <xf numFmtId="168" fontId="0" fillId="0" borderId="1" xfId="1" applyNumberFormat="1" applyFont="1" applyFill="1" applyBorder="1" applyAlignment="1">
      <alignment vertical="center" wrapText="1"/>
    </xf>
    <xf numFmtId="166" fontId="0" fillId="0" borderId="0" xfId="0" applyNumberFormat="1" applyFont="1" applyFill="1"/>
    <xf numFmtId="167" fontId="11" fillId="3" borderId="10" xfId="0" applyNumberFormat="1" applyFont="1" applyFill="1" applyBorder="1" applyAlignment="1"/>
    <xf numFmtId="0" fontId="0" fillId="0" borderId="0" xfId="0" applyAlignment="1">
      <alignment horizontal="left"/>
    </xf>
    <xf numFmtId="3" fontId="0" fillId="0" borderId="18" xfId="0" applyNumberFormat="1" applyFont="1" applyBorder="1"/>
    <xf numFmtId="0" fontId="0" fillId="0" borderId="0" xfId="0" applyNumberFormat="1"/>
    <xf numFmtId="9" fontId="0" fillId="0" borderId="0" xfId="1" applyNumberFormat="1" applyFont="1" applyFill="1"/>
    <xf numFmtId="10" fontId="0" fillId="0" borderId="0" xfId="0" applyNumberFormat="1" applyFont="1"/>
    <xf numFmtId="169" fontId="0" fillId="0" borderId="0" xfId="2" applyNumberFormat="1" applyFont="1"/>
    <xf numFmtId="0" fontId="0" fillId="0" borderId="0" xfId="0" applyFont="1" applyAlignment="1">
      <alignment horizontal="right"/>
    </xf>
    <xf numFmtId="0" fontId="17" fillId="3" borderId="15" xfId="0" applyFont="1" applyFill="1" applyBorder="1" applyAlignment="1">
      <alignment horizontal="center" vertical="center" wrapText="1"/>
    </xf>
    <xf numFmtId="167" fontId="10" fillId="3" borderId="19" xfId="0" applyNumberFormat="1" applyFont="1" applyFill="1" applyBorder="1"/>
    <xf numFmtId="167" fontId="10" fillId="3" borderId="20" xfId="0" applyNumberFormat="1" applyFont="1" applyFill="1" applyBorder="1"/>
    <xf numFmtId="167" fontId="0" fillId="0" borderId="12" xfId="0" applyNumberFormat="1" applyFont="1" applyBorder="1" applyAlignment="1">
      <alignment horizontal="right"/>
    </xf>
    <xf numFmtId="10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1" fontId="0" fillId="0" borderId="0" xfId="0" applyNumberFormat="1"/>
    <xf numFmtId="0" fontId="11" fillId="3" borderId="21" xfId="0" applyFont="1" applyFill="1" applyBorder="1" applyAlignment="1">
      <alignment horizontal="center" vertical="center" wrapText="1"/>
    </xf>
    <xf numFmtId="0" fontId="0" fillId="0" borderId="9" xfId="0" applyFont="1" applyFill="1" applyBorder="1"/>
    <xf numFmtId="168" fontId="0" fillId="0" borderId="10" xfId="1" applyNumberFormat="1" applyFont="1" applyFill="1" applyBorder="1"/>
    <xf numFmtId="168" fontId="0" fillId="0" borderId="11" xfId="1" applyNumberFormat="1" applyFont="1" applyFill="1" applyBorder="1"/>
    <xf numFmtId="3" fontId="0" fillId="2" borderId="1" xfId="0" applyNumberFormat="1" applyFont="1" applyFill="1" applyBorder="1" applyAlignment="1">
      <alignment vertical="center" wrapText="1"/>
    </xf>
    <xf numFmtId="10" fontId="0" fillId="0" borderId="0" xfId="0" applyNumberFormat="1" applyFont="1" applyFill="1"/>
    <xf numFmtId="0" fontId="17" fillId="4" borderId="5" xfId="0" applyFont="1" applyFill="1" applyBorder="1" applyAlignment="1">
      <alignment horizontal="center" vertical="center" wrapText="1"/>
    </xf>
    <xf numFmtId="167" fontId="10" fillId="4" borderId="6" xfId="0" applyNumberFormat="1" applyFont="1" applyFill="1" applyBorder="1" applyAlignment="1"/>
    <xf numFmtId="167" fontId="10" fillId="4" borderId="13" xfId="0" applyNumberFormat="1" applyFont="1" applyFill="1" applyBorder="1" applyAlignment="1"/>
    <xf numFmtId="167" fontId="10" fillId="4" borderId="0" xfId="0" applyNumberFormat="1" applyFont="1" applyFill="1" applyBorder="1"/>
    <xf numFmtId="165" fontId="0" fillId="0" borderId="1" xfId="0" applyNumberFormat="1" applyFont="1" applyBorder="1"/>
    <xf numFmtId="165" fontId="0" fillId="0" borderId="1" xfId="0" applyNumberFormat="1" applyFont="1" applyFill="1" applyBorder="1"/>
    <xf numFmtId="166" fontId="0" fillId="2" borderId="1" xfId="0" applyNumberFormat="1" applyFont="1" applyFill="1" applyBorder="1"/>
    <xf numFmtId="167" fontId="10" fillId="0" borderId="0" xfId="0" applyNumberFormat="1" applyFont="1" applyFill="1"/>
    <xf numFmtId="0" fontId="18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169" fontId="12" fillId="2" borderId="1" xfId="0" applyNumberFormat="1" applyFont="1" applyFill="1" applyBorder="1" applyAlignment="1">
      <alignment horizontal="center"/>
    </xf>
    <xf numFmtId="167" fontId="0" fillId="2" borderId="0" xfId="0" applyNumberFormat="1" applyFont="1" applyFill="1" applyBorder="1"/>
    <xf numFmtId="0" fontId="0" fillId="2" borderId="3" xfId="0" applyFont="1" applyFill="1" applyBorder="1" applyAlignment="1">
      <alignment horizontal="center" vertical="center" wrapText="1"/>
    </xf>
    <xf numFmtId="167" fontId="0" fillId="2" borderId="3" xfId="0" applyNumberFormat="1" applyFont="1" applyFill="1" applyBorder="1"/>
    <xf numFmtId="4" fontId="0" fillId="0" borderId="1" xfId="0" applyNumberFormat="1" applyFont="1" applyFill="1" applyBorder="1" applyAlignment="1">
      <alignment vertical="center" wrapText="1"/>
    </xf>
    <xf numFmtId="167" fontId="0" fillId="0" borderId="10" xfId="0" applyNumberFormat="1" applyFont="1" applyFill="1" applyBorder="1" applyAlignment="1"/>
    <xf numFmtId="167" fontId="0" fillId="0" borderId="11" xfId="0" applyNumberFormat="1" applyFont="1" applyFill="1" applyBorder="1" applyAlignment="1"/>
    <xf numFmtId="0" fontId="3" fillId="0" borderId="9" xfId="0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right"/>
    </xf>
    <xf numFmtId="0" fontId="3" fillId="0" borderId="0" xfId="0" applyFont="1" applyAlignment="1">
      <alignment horizontal="right" wrapText="1"/>
    </xf>
    <xf numFmtId="0" fontId="19" fillId="0" borderId="0" xfId="0" applyFont="1"/>
    <xf numFmtId="0" fontId="19" fillId="0" borderId="1" xfId="0" applyFont="1" applyBorder="1"/>
    <xf numFmtId="2" fontId="19" fillId="0" borderId="1" xfId="0" applyNumberFormat="1" applyFont="1" applyBorder="1"/>
    <xf numFmtId="168" fontId="19" fillId="0" borderId="1" xfId="1" applyNumberFormat="1" applyFont="1" applyBorder="1"/>
    <xf numFmtId="0" fontId="19" fillId="0" borderId="1" xfId="0" applyFont="1" applyFill="1" applyBorder="1"/>
    <xf numFmtId="3" fontId="19" fillId="0" borderId="1" xfId="0" applyNumberFormat="1" applyFont="1" applyBorder="1"/>
    <xf numFmtId="167" fontId="2" fillId="3" borderId="16" xfId="0" applyNumberFormat="1" applyFont="1" applyFill="1" applyBorder="1"/>
    <xf numFmtId="167" fontId="2" fillId="3" borderId="17" xfId="0" applyNumberFormat="1" applyFont="1" applyFill="1" applyBorder="1"/>
    <xf numFmtId="0" fontId="7" fillId="0" borderId="12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3">
    <cellStyle name="Ezres" xfId="2" builtinId="3"/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abSelected="1" zoomScaleNormal="100" workbookViewId="0">
      <selection activeCell="A2" sqref="A2"/>
    </sheetView>
  </sheetViews>
  <sheetFormatPr defaultColWidth="8.88671875" defaultRowHeight="14.4" x14ac:dyDescent="0.3"/>
  <cols>
    <col min="1" max="1" width="6.6640625" style="3" customWidth="1"/>
    <col min="2" max="2" width="44" style="3" customWidth="1"/>
    <col min="3" max="3" width="16.33203125" style="3" customWidth="1"/>
    <col min="4" max="4" width="16.88671875" style="3" customWidth="1"/>
    <col min="5" max="5" width="18.33203125" style="3" customWidth="1"/>
    <col min="6" max="6" width="17.109375" style="3" customWidth="1"/>
    <col min="7" max="7" width="17.44140625" style="3" customWidth="1"/>
    <col min="8" max="8" width="18" style="3" bestFit="1" customWidth="1"/>
    <col min="9" max="9" width="8.44140625" style="3" customWidth="1"/>
    <col min="10" max="10" width="16.6640625" style="3" customWidth="1"/>
    <col min="11" max="11" width="15.44140625" style="3" customWidth="1"/>
    <col min="12" max="12" width="14.44140625" style="3" customWidth="1"/>
    <col min="13" max="13" width="18.6640625" style="3" bestFit="1" customWidth="1"/>
    <col min="14" max="14" width="16" style="3" customWidth="1"/>
    <col min="15" max="15" width="23.44140625" style="3" customWidth="1"/>
    <col min="16" max="16" width="5.6640625" style="3" customWidth="1"/>
    <col min="17" max="18" width="8.88671875" style="3"/>
    <col min="19" max="19" width="52" style="3" bestFit="1" customWidth="1"/>
    <col min="20" max="20" width="12.33203125" style="3" bestFit="1" customWidth="1"/>
    <col min="21" max="16384" width="8.88671875" style="3"/>
  </cols>
  <sheetData>
    <row r="1" spans="1:16" s="10" customFormat="1" ht="33.6" x14ac:dyDescent="0.65">
      <c r="A1" s="30" t="s">
        <v>51</v>
      </c>
      <c r="N1" s="50" t="s">
        <v>49</v>
      </c>
      <c r="P1" s="50" t="s">
        <v>50</v>
      </c>
    </row>
    <row r="2" spans="1:16" s="7" customFormat="1" ht="23.4" x14ac:dyDescent="0.45">
      <c r="A2" s="34" t="s">
        <v>10</v>
      </c>
      <c r="B2" s="35"/>
      <c r="C2" s="23" t="s">
        <v>0</v>
      </c>
      <c r="D2" s="23" t="s">
        <v>1</v>
      </c>
      <c r="E2" s="36"/>
      <c r="F2" s="37"/>
      <c r="G2" s="38" t="s">
        <v>18</v>
      </c>
      <c r="H2" s="52">
        <v>410000000</v>
      </c>
      <c r="I2" s="37" t="s">
        <v>0</v>
      </c>
      <c r="J2" s="51"/>
      <c r="K2" s="38" t="s">
        <v>19</v>
      </c>
      <c r="L2" s="52">
        <v>10</v>
      </c>
      <c r="M2" s="37" t="s">
        <v>1</v>
      </c>
      <c r="N2" s="52" t="s">
        <v>25</v>
      </c>
      <c r="O2" s="37"/>
      <c r="P2" s="36"/>
    </row>
    <row r="3" spans="1:16" s="7" customFormat="1" ht="21" x14ac:dyDescent="0.4">
      <c r="B3" s="29">
        <f>+C3</f>
        <v>0</v>
      </c>
      <c r="C3" s="24">
        <f>$H$2*D3/100</f>
        <v>0</v>
      </c>
      <c r="D3" s="66">
        <v>0</v>
      </c>
      <c r="E3" s="25" t="s">
        <v>12</v>
      </c>
      <c r="F3" s="53"/>
      <c r="G3" s="38" t="s">
        <v>30</v>
      </c>
      <c r="H3" s="52">
        <v>-45000000</v>
      </c>
      <c r="I3" s="37" t="s">
        <v>0</v>
      </c>
      <c r="J3" s="53"/>
      <c r="K3" s="54"/>
      <c r="L3" s="57">
        <v>10</v>
      </c>
      <c r="M3" s="58" t="s">
        <v>1</v>
      </c>
      <c r="N3" s="10" t="s">
        <v>26</v>
      </c>
    </row>
    <row r="4" spans="1:16" s="7" customFormat="1" ht="15.6" x14ac:dyDescent="0.3">
      <c r="B4" s="29">
        <f t="shared" ref="B4:B6" si="0">+C4</f>
        <v>82000000</v>
      </c>
      <c r="C4" s="24">
        <f>$H$2*D4/100</f>
        <v>82000000</v>
      </c>
      <c r="D4" s="66">
        <v>20</v>
      </c>
      <c r="E4" s="25" t="s">
        <v>13</v>
      </c>
      <c r="F4" s="53"/>
      <c r="G4" s="53"/>
      <c r="H4" s="53"/>
      <c r="I4" s="53"/>
      <c r="J4" s="53"/>
      <c r="K4" s="53"/>
      <c r="L4" s="53"/>
      <c r="M4" s="53"/>
    </row>
    <row r="5" spans="1:16" s="7" customFormat="1" ht="15.6" x14ac:dyDescent="0.3">
      <c r="B5" s="29">
        <f t="shared" si="0"/>
        <v>20500000</v>
      </c>
      <c r="C5" s="24">
        <f>$H$2*D5/100</f>
        <v>20500000</v>
      </c>
      <c r="D5" s="66">
        <v>5</v>
      </c>
      <c r="E5" s="25" t="s">
        <v>14</v>
      </c>
      <c r="F5" s="53"/>
      <c r="G5" s="53"/>
      <c r="H5" s="53"/>
      <c r="I5" s="53"/>
      <c r="J5" s="53"/>
      <c r="K5" s="53"/>
      <c r="L5" s="53"/>
      <c r="M5" s="53"/>
    </row>
    <row r="6" spans="1:16" s="7" customFormat="1" ht="16.2" thickBot="1" x14ac:dyDescent="0.35">
      <c r="B6" s="29">
        <f t="shared" si="0"/>
        <v>307500000</v>
      </c>
      <c r="C6" s="28">
        <f>$H$2*D6/100</f>
        <v>307500000</v>
      </c>
      <c r="D6" s="67">
        <v>75</v>
      </c>
      <c r="E6" s="25" t="s">
        <v>15</v>
      </c>
      <c r="F6" s="53"/>
      <c r="G6" s="53"/>
      <c r="H6" s="53"/>
      <c r="I6" s="53"/>
      <c r="J6" s="53"/>
      <c r="K6" s="53"/>
      <c r="L6" s="53"/>
      <c r="M6" s="53"/>
    </row>
    <row r="7" spans="1:16" s="7" customFormat="1" ht="15.6" x14ac:dyDescent="0.3">
      <c r="C7" s="26">
        <f>SUM(C3:C6)</f>
        <v>410000000</v>
      </c>
      <c r="D7" s="27">
        <f>SUM(D3:D6)</f>
        <v>100</v>
      </c>
      <c r="F7" s="53"/>
      <c r="G7" s="53"/>
      <c r="H7" s="53"/>
      <c r="I7" s="53"/>
      <c r="J7" s="53"/>
      <c r="K7" s="53"/>
      <c r="L7" s="53"/>
      <c r="M7" s="53"/>
    </row>
    <row r="8" spans="1:16" s="9" customFormat="1" ht="18" x14ac:dyDescent="0.35">
      <c r="D8" s="11"/>
      <c r="F8" s="55"/>
      <c r="G8" s="55"/>
      <c r="H8" s="55"/>
      <c r="I8" s="55"/>
      <c r="J8" s="55"/>
      <c r="K8" s="55"/>
      <c r="L8" s="55"/>
      <c r="M8" s="55"/>
    </row>
    <row r="9" spans="1:16" s="22" customFormat="1" ht="55.2" x14ac:dyDescent="0.6">
      <c r="A9" s="39" t="s">
        <v>28</v>
      </c>
      <c r="B9" s="40"/>
      <c r="C9" s="102" t="s">
        <v>32</v>
      </c>
      <c r="D9" s="103" t="s">
        <v>33</v>
      </c>
      <c r="E9" s="56"/>
      <c r="F9" s="56"/>
      <c r="G9" s="56"/>
      <c r="H9" s="56"/>
      <c r="I9" s="56"/>
      <c r="J9" s="56"/>
      <c r="K9" s="56"/>
      <c r="L9" s="40"/>
      <c r="M9" s="40"/>
      <c r="N9" s="40"/>
    </row>
    <row r="10" spans="1:16" x14ac:dyDescent="0.3">
      <c r="A10" s="3">
        <v>251</v>
      </c>
      <c r="B10" s="3" t="s">
        <v>2</v>
      </c>
      <c r="C10" s="104">
        <v>76143612.690423161</v>
      </c>
      <c r="D10" s="104">
        <f t="shared" ref="D10:D15" si="1">+C10*$E$16</f>
        <v>70927529.387300044</v>
      </c>
      <c r="E10" s="15"/>
      <c r="H10" s="73"/>
      <c r="I10" s="73"/>
      <c r="J10" s="73"/>
      <c r="K10" s="73"/>
    </row>
    <row r="11" spans="1:16" x14ac:dyDescent="0.3">
      <c r="A11" s="3">
        <v>256</v>
      </c>
      <c r="B11" s="15" t="s">
        <v>27</v>
      </c>
      <c r="C11" s="104">
        <v>67126459.563839599</v>
      </c>
      <c r="D11" s="104">
        <f t="shared" si="1"/>
        <v>62528080.362260804</v>
      </c>
      <c r="E11" s="15"/>
      <c r="H11" s="73"/>
      <c r="I11" s="73"/>
      <c r="J11" s="73"/>
      <c r="K11" s="73"/>
    </row>
    <row r="12" spans="1:16" x14ac:dyDescent="0.3">
      <c r="A12" s="3">
        <v>257</v>
      </c>
      <c r="B12" s="3" t="s">
        <v>6</v>
      </c>
      <c r="C12" s="104">
        <v>80710137.372750878</v>
      </c>
      <c r="D12" s="104">
        <f t="shared" si="1"/>
        <v>75181232.38561295</v>
      </c>
      <c r="E12" s="15"/>
      <c r="H12" s="73"/>
      <c r="I12" s="73"/>
      <c r="J12" s="73"/>
      <c r="K12" s="73"/>
    </row>
    <row r="13" spans="1:16" x14ac:dyDescent="0.3">
      <c r="A13" s="3">
        <v>259</v>
      </c>
      <c r="B13" s="3" t="s">
        <v>4</v>
      </c>
      <c r="C13" s="104">
        <v>76371603.421520591</v>
      </c>
      <c r="D13" s="104">
        <f t="shared" si="1"/>
        <v>71139902.01723671</v>
      </c>
      <c r="E13" s="15"/>
      <c r="H13" s="73"/>
      <c r="I13" s="73"/>
      <c r="J13" s="73"/>
      <c r="K13" s="73"/>
    </row>
    <row r="14" spans="1:16" x14ac:dyDescent="0.3">
      <c r="A14" s="3">
        <v>261</v>
      </c>
      <c r="B14" s="3" t="s">
        <v>5</v>
      </c>
      <c r="C14" s="104">
        <v>77367504.654067129</v>
      </c>
      <c r="D14" s="104">
        <f t="shared" si="1"/>
        <v>72067580.800032079</v>
      </c>
      <c r="E14" s="15"/>
      <c r="H14" s="73"/>
      <c r="I14" s="73"/>
      <c r="J14" s="73"/>
      <c r="K14" s="73"/>
    </row>
    <row r="15" spans="1:16" x14ac:dyDescent="0.3">
      <c r="A15" s="3">
        <v>263</v>
      </c>
      <c r="B15" s="3" t="s">
        <v>3</v>
      </c>
      <c r="C15" s="104">
        <v>62432503.074951492</v>
      </c>
      <c r="D15" s="104">
        <f t="shared" si="1"/>
        <v>58155675.047557458</v>
      </c>
      <c r="E15" s="15"/>
      <c r="H15" s="73"/>
      <c r="I15" s="73"/>
      <c r="J15" s="73"/>
      <c r="K15" s="73"/>
    </row>
    <row r="16" spans="1:16" x14ac:dyDescent="0.3">
      <c r="C16" s="105">
        <f>SUM(C10:C15)</f>
        <v>440151820.77755278</v>
      </c>
      <c r="D16" s="105">
        <f>+C7</f>
        <v>410000000</v>
      </c>
      <c r="E16" s="76">
        <f>+D16/C16</f>
        <v>0.93149677144516196</v>
      </c>
    </row>
    <row r="17" spans="1:23" x14ac:dyDescent="0.3">
      <c r="C17" s="5"/>
      <c r="H17" s="73"/>
      <c r="I17" s="73"/>
      <c r="J17" s="73"/>
      <c r="K17" s="73"/>
    </row>
    <row r="18" spans="1:23" s="7" customFormat="1" ht="31.2" x14ac:dyDescent="0.6">
      <c r="A18" s="122" t="s">
        <v>20</v>
      </c>
      <c r="B18" s="123"/>
      <c r="C18" s="124" t="s">
        <v>39</v>
      </c>
      <c r="D18" s="125"/>
      <c r="E18" s="126"/>
      <c r="F18" s="124" t="s">
        <v>38</v>
      </c>
      <c r="G18" s="125"/>
      <c r="H18" s="126"/>
      <c r="I18" s="124" t="s">
        <v>36</v>
      </c>
      <c r="J18" s="125"/>
      <c r="K18" s="126"/>
      <c r="L18" s="124" t="s">
        <v>41</v>
      </c>
      <c r="M18" s="125"/>
      <c r="N18" s="126"/>
      <c r="O18" s="61" t="s">
        <v>40</v>
      </c>
      <c r="P18" s="3"/>
    </row>
    <row r="19" spans="1:23" ht="15.6" x14ac:dyDescent="0.3">
      <c r="C19" s="1" t="s">
        <v>7</v>
      </c>
      <c r="D19" s="1" t="s">
        <v>1</v>
      </c>
      <c r="E19" s="2" t="s">
        <v>0</v>
      </c>
      <c r="F19" s="1" t="s">
        <v>8</v>
      </c>
      <c r="G19" s="1" t="s">
        <v>1</v>
      </c>
      <c r="H19" s="2" t="s">
        <v>0</v>
      </c>
      <c r="I19" s="1" t="s">
        <v>7</v>
      </c>
      <c r="J19" s="1" t="s">
        <v>1</v>
      </c>
      <c r="K19" s="2" t="s">
        <v>0</v>
      </c>
      <c r="L19" s="69" t="s">
        <v>8</v>
      </c>
      <c r="M19" s="69" t="s">
        <v>1</v>
      </c>
      <c r="N19" s="48" t="s">
        <v>0</v>
      </c>
      <c r="O19" s="48" t="s">
        <v>0</v>
      </c>
      <c r="Q19" s="7"/>
    </row>
    <row r="20" spans="1:23" x14ac:dyDescent="0.3">
      <c r="A20" s="3">
        <v>251</v>
      </c>
      <c r="B20" s="3" t="s">
        <v>2</v>
      </c>
      <c r="C20" s="108">
        <v>1</v>
      </c>
      <c r="D20" s="17">
        <f t="shared" ref="D20:D25" si="2">+C20/$C$26</f>
        <v>0.16666666666666666</v>
      </c>
      <c r="E20" s="8">
        <f t="shared" ref="E20:E25" si="3">+C20/$C$26*$C$3</f>
        <v>0</v>
      </c>
      <c r="F20" s="65">
        <v>15</v>
      </c>
      <c r="G20" s="17">
        <f t="shared" ref="G20:G25" si="4">+F20/$F$26</f>
        <v>0.12931034482758622</v>
      </c>
      <c r="H20" s="8">
        <f t="shared" ref="H20:H25" si="5">+F20/$F$26*$C$4</f>
        <v>10603448.27586207</v>
      </c>
      <c r="I20" s="92">
        <v>2</v>
      </c>
      <c r="J20" s="17">
        <f t="shared" ref="J20:J25" si="6">+I20/$I$26</f>
        <v>6.4516129032258063E-2</v>
      </c>
      <c r="K20" s="8">
        <f t="shared" ref="K20:K25" si="7">+I20/$I$26*$C$5</f>
        <v>1322580.6451612902</v>
      </c>
      <c r="L20" s="100">
        <v>521.01390276450604</v>
      </c>
      <c r="M20" s="70">
        <f>+L20/$L$26</f>
        <v>0.19657072385568033</v>
      </c>
      <c r="N20" s="8">
        <f>$C$6*M20</f>
        <v>60445497.5856217</v>
      </c>
      <c r="O20" s="31">
        <f>+E20+H20+K20+N20</f>
        <v>72371526.506645054</v>
      </c>
      <c r="T20" s="86"/>
      <c r="U20" s="84"/>
      <c r="V20" s="85"/>
      <c r="W20" s="85"/>
    </row>
    <row r="21" spans="1:23" x14ac:dyDescent="0.3">
      <c r="A21" s="3">
        <v>256</v>
      </c>
      <c r="B21" s="15" t="s">
        <v>27</v>
      </c>
      <c r="C21" s="108">
        <v>1</v>
      </c>
      <c r="D21" s="17">
        <f t="shared" si="2"/>
        <v>0.16666666666666666</v>
      </c>
      <c r="E21" s="8">
        <f t="shared" si="3"/>
        <v>0</v>
      </c>
      <c r="F21" s="65">
        <v>22</v>
      </c>
      <c r="G21" s="17">
        <f t="shared" si="4"/>
        <v>0.18965517241379309</v>
      </c>
      <c r="H21" s="8">
        <f t="shared" si="5"/>
        <v>15551724.137931034</v>
      </c>
      <c r="I21" s="92">
        <v>7</v>
      </c>
      <c r="J21" s="17">
        <f t="shared" si="6"/>
        <v>0.22580645161290322</v>
      </c>
      <c r="K21" s="8">
        <f t="shared" si="7"/>
        <v>4629032.2580645159</v>
      </c>
      <c r="L21" s="100">
        <v>483.30833511904734</v>
      </c>
      <c r="M21" s="70">
        <f t="shared" ref="M21:M25" si="8">+L21/$L$26</f>
        <v>0.18234497923326243</v>
      </c>
      <c r="N21" s="8">
        <f t="shared" ref="N21:N25" si="9">$C$6*M21</f>
        <v>56071081.114228196</v>
      </c>
      <c r="O21" s="31">
        <f t="shared" ref="O21:O25" si="10">+E21+H21+K21+N21</f>
        <v>76251837.510223746</v>
      </c>
      <c r="Q21" s="15"/>
      <c r="T21" s="86"/>
      <c r="U21" s="84"/>
      <c r="V21" s="85"/>
      <c r="W21" s="85"/>
    </row>
    <row r="22" spans="1:23" x14ac:dyDescent="0.3">
      <c r="A22" s="3">
        <v>257</v>
      </c>
      <c r="B22" s="3" t="s">
        <v>6</v>
      </c>
      <c r="C22" s="108">
        <v>1</v>
      </c>
      <c r="D22" s="17">
        <f t="shared" si="2"/>
        <v>0.16666666666666666</v>
      </c>
      <c r="E22" s="8">
        <f t="shared" si="3"/>
        <v>0</v>
      </c>
      <c r="F22" s="65">
        <v>21</v>
      </c>
      <c r="G22" s="17">
        <f t="shared" si="4"/>
        <v>0.18103448275862069</v>
      </c>
      <c r="H22" s="8">
        <f t="shared" si="5"/>
        <v>14844827.586206896</v>
      </c>
      <c r="I22" s="92">
        <v>5</v>
      </c>
      <c r="J22" s="17">
        <f t="shared" si="6"/>
        <v>0.16129032258064516</v>
      </c>
      <c r="K22" s="8">
        <f t="shared" si="7"/>
        <v>3306451.6129032257</v>
      </c>
      <c r="L22" s="100">
        <v>465.02732916666633</v>
      </c>
      <c r="M22" s="70">
        <f t="shared" si="8"/>
        <v>0.1754478301287907</v>
      </c>
      <c r="N22" s="8">
        <f t="shared" si="9"/>
        <v>53950207.764603138</v>
      </c>
      <c r="O22" s="31">
        <f t="shared" si="10"/>
        <v>72101486.963713259</v>
      </c>
      <c r="T22" s="86"/>
      <c r="U22" s="84"/>
      <c r="V22" s="85"/>
      <c r="W22" s="85"/>
    </row>
    <row r="23" spans="1:23" x14ac:dyDescent="0.3">
      <c r="A23" s="3">
        <v>259</v>
      </c>
      <c r="B23" s="3" t="s">
        <v>4</v>
      </c>
      <c r="C23" s="108">
        <v>1</v>
      </c>
      <c r="D23" s="17">
        <f t="shared" si="2"/>
        <v>0.16666666666666666</v>
      </c>
      <c r="E23" s="8">
        <f t="shared" si="3"/>
        <v>0</v>
      </c>
      <c r="F23" s="65">
        <v>21</v>
      </c>
      <c r="G23" s="17">
        <f t="shared" si="4"/>
        <v>0.18103448275862069</v>
      </c>
      <c r="H23" s="8">
        <f t="shared" si="5"/>
        <v>14844827.586206896</v>
      </c>
      <c r="I23" s="92">
        <v>10</v>
      </c>
      <c r="J23" s="17">
        <f t="shared" si="6"/>
        <v>0.32258064516129031</v>
      </c>
      <c r="K23" s="8">
        <f t="shared" si="7"/>
        <v>6612903.2258064514</v>
      </c>
      <c r="L23" s="100">
        <v>502.14643035714283</v>
      </c>
      <c r="M23" s="70">
        <f t="shared" si="8"/>
        <v>0.18945230976199962</v>
      </c>
      <c r="N23" s="8">
        <f t="shared" si="9"/>
        <v>58256585.251814879</v>
      </c>
      <c r="O23" s="31">
        <f t="shared" si="10"/>
        <v>79714316.06382823</v>
      </c>
      <c r="T23" s="86"/>
      <c r="U23" s="84"/>
      <c r="V23" s="85"/>
      <c r="W23" s="85"/>
    </row>
    <row r="24" spans="1:23" x14ac:dyDescent="0.3">
      <c r="A24" s="3">
        <v>261</v>
      </c>
      <c r="B24" s="3" t="s">
        <v>5</v>
      </c>
      <c r="C24" s="108">
        <v>1</v>
      </c>
      <c r="D24" s="17">
        <f t="shared" si="2"/>
        <v>0.16666666666666666</v>
      </c>
      <c r="E24" s="8">
        <f t="shared" si="3"/>
        <v>0</v>
      </c>
      <c r="F24" s="65">
        <v>25</v>
      </c>
      <c r="G24" s="17">
        <f t="shared" si="4"/>
        <v>0.21551724137931033</v>
      </c>
      <c r="H24" s="8">
        <f t="shared" si="5"/>
        <v>17672413.793103445</v>
      </c>
      <c r="I24" s="92">
        <v>6</v>
      </c>
      <c r="J24" s="17">
        <f t="shared" si="6"/>
        <v>0.19354838709677419</v>
      </c>
      <c r="K24" s="8">
        <f t="shared" si="7"/>
        <v>3967741.935483871</v>
      </c>
      <c r="L24" s="100">
        <v>377.28972023353418</v>
      </c>
      <c r="M24" s="70">
        <f t="shared" si="8"/>
        <v>0.14234574742842226</v>
      </c>
      <c r="N24" s="8">
        <f t="shared" si="9"/>
        <v>43771317.334239848</v>
      </c>
      <c r="O24" s="31">
        <f t="shared" si="10"/>
        <v>65411473.062827162</v>
      </c>
      <c r="T24" s="86"/>
      <c r="U24" s="84"/>
      <c r="V24" s="85"/>
      <c r="W24" s="85"/>
    </row>
    <row r="25" spans="1:23" x14ac:dyDescent="0.3">
      <c r="A25" s="3">
        <v>263</v>
      </c>
      <c r="B25" s="3" t="s">
        <v>3</v>
      </c>
      <c r="C25" s="108">
        <v>1</v>
      </c>
      <c r="D25" s="17">
        <f t="shared" si="2"/>
        <v>0.16666666666666666</v>
      </c>
      <c r="E25" s="8">
        <f t="shared" si="3"/>
        <v>0</v>
      </c>
      <c r="F25" s="65">
        <v>12</v>
      </c>
      <c r="G25" s="17">
        <f t="shared" si="4"/>
        <v>0.10344827586206896</v>
      </c>
      <c r="H25" s="8">
        <f t="shared" si="5"/>
        <v>8482758.6206896547</v>
      </c>
      <c r="I25" s="92">
        <v>1</v>
      </c>
      <c r="J25" s="17">
        <f t="shared" si="6"/>
        <v>3.2258064516129031E-2</v>
      </c>
      <c r="K25" s="8">
        <f t="shared" si="7"/>
        <v>661290.32258064509</v>
      </c>
      <c r="L25" s="100">
        <v>301.73055734127001</v>
      </c>
      <c r="M25" s="70">
        <f t="shared" si="8"/>
        <v>0.11383840959184455</v>
      </c>
      <c r="N25" s="8">
        <f t="shared" si="9"/>
        <v>35005310.949492201</v>
      </c>
      <c r="O25" s="31">
        <f t="shared" si="10"/>
        <v>44149359.892762497</v>
      </c>
      <c r="T25" s="86"/>
      <c r="U25" s="84"/>
      <c r="V25" s="85"/>
    </row>
    <row r="26" spans="1:23" x14ac:dyDescent="0.3">
      <c r="C26" s="18">
        <f>SUM(C20:C25)</f>
        <v>6</v>
      </c>
      <c r="D26" s="19">
        <f>SUM(D20:D25)</f>
        <v>0.99999999999999989</v>
      </c>
      <c r="E26" s="16">
        <f>SUM(E20:E25)</f>
        <v>0</v>
      </c>
      <c r="F26" s="18">
        <f t="shared" ref="F26:O26" si="11">SUM(F20:F25)</f>
        <v>116</v>
      </c>
      <c r="G26" s="19">
        <f t="shared" si="11"/>
        <v>1</v>
      </c>
      <c r="H26" s="16">
        <f t="shared" si="11"/>
        <v>82000000</v>
      </c>
      <c r="I26" s="18">
        <f t="shared" si="11"/>
        <v>31</v>
      </c>
      <c r="J26" s="19">
        <f t="shared" si="11"/>
        <v>1</v>
      </c>
      <c r="K26" s="16">
        <f t="shared" si="11"/>
        <v>20500000.000000004</v>
      </c>
      <c r="L26" s="71">
        <f>SUM(L20:L25)</f>
        <v>2650.516274982167</v>
      </c>
      <c r="M26" s="19">
        <f t="shared" si="11"/>
        <v>0.99999999999999978</v>
      </c>
      <c r="N26" s="16">
        <f t="shared" si="11"/>
        <v>307500000</v>
      </c>
      <c r="O26" s="16">
        <f t="shared" si="11"/>
        <v>409999999.99999994</v>
      </c>
    </row>
    <row r="27" spans="1:23" ht="16.2" thickBot="1" x14ac:dyDescent="0.35">
      <c r="C27" s="6"/>
      <c r="D27" s="4"/>
      <c r="F27" s="4"/>
      <c r="H27" s="4"/>
      <c r="J27" s="4"/>
      <c r="L27" s="4"/>
      <c r="N27" s="4"/>
      <c r="O27" s="4"/>
      <c r="Q27" s="7"/>
    </row>
    <row r="28" spans="1:23" s="15" customFormat="1" ht="78" x14ac:dyDescent="0.6">
      <c r="A28" s="41" t="s">
        <v>21</v>
      </c>
      <c r="B28" s="41"/>
      <c r="C28" s="20" t="s">
        <v>45</v>
      </c>
      <c r="D28" s="20" t="s">
        <v>31</v>
      </c>
      <c r="E28" s="20" t="s">
        <v>11</v>
      </c>
      <c r="F28" s="20" t="s">
        <v>23</v>
      </c>
      <c r="G28" s="20" t="s">
        <v>24</v>
      </c>
      <c r="H28" s="20" t="s">
        <v>9</v>
      </c>
      <c r="I28" s="42"/>
      <c r="J28" s="88" t="s">
        <v>16</v>
      </c>
      <c r="K28" s="89"/>
      <c r="L28" s="106" t="s">
        <v>46</v>
      </c>
      <c r="M28" s="20" t="s">
        <v>34</v>
      </c>
      <c r="N28" s="20" t="s">
        <v>17</v>
      </c>
      <c r="O28" s="32" t="s">
        <v>44</v>
      </c>
      <c r="P28" s="41"/>
    </row>
    <row r="29" spans="1:23" s="15" customFormat="1" ht="15.6" x14ac:dyDescent="0.3">
      <c r="A29" s="3">
        <v>251</v>
      </c>
      <c r="B29" s="3" t="s">
        <v>2</v>
      </c>
      <c r="C29" s="98">
        <v>710.1</v>
      </c>
      <c r="D29" s="8">
        <f>(C29/$C$35)*$H$3</f>
        <v>-4729550.7189532807</v>
      </c>
      <c r="E29" s="8">
        <f>+O20+D29</f>
        <v>67641975.787691772</v>
      </c>
      <c r="F29" s="8">
        <f t="shared" ref="F29:F34" si="12">+D10*(1-$L$2/100)</f>
        <v>63834776.448570043</v>
      </c>
      <c r="G29" s="8">
        <f t="shared" ref="G29:G34" si="13">+D10*(1+($L$3)/100)</f>
        <v>78020282.326030061</v>
      </c>
      <c r="H29" s="8">
        <f t="shared" ref="H29:H34" si="14">+J29-E29</f>
        <v>0</v>
      </c>
      <c r="I29" s="21">
        <f>+E29/$E$35</f>
        <v>0.1853204816101145</v>
      </c>
      <c r="J29" s="120">
        <f t="shared" ref="J29:J34" si="15">IF(E29&lt;F29,F29,IF(E29&lt;G29,E29,IF(E29&gt;G29,G29)))</f>
        <v>67641975.787691772</v>
      </c>
      <c r="K29" s="90">
        <f t="shared" ref="K29:K34" si="16">+J29/$J$35</f>
        <v>0.17483224602929859</v>
      </c>
      <c r="L29" s="107">
        <v>-5106102.7947199885</v>
      </c>
      <c r="M29" s="8">
        <f>+J29+L29</f>
        <v>62535872.992971785</v>
      </c>
      <c r="N29" s="12">
        <v>0</v>
      </c>
      <c r="O29" s="72">
        <f t="shared" ref="O29:O34" si="17">+M29+N29</f>
        <v>62535872.992971785</v>
      </c>
      <c r="P29" s="3">
        <v>251</v>
      </c>
      <c r="U29" s="93"/>
    </row>
    <row r="30" spans="1:23" s="15" customFormat="1" ht="15.6" x14ac:dyDescent="0.3">
      <c r="A30" s="3">
        <v>256</v>
      </c>
      <c r="B30" s="15" t="s">
        <v>27</v>
      </c>
      <c r="C30" s="99">
        <v>2518.5320000000002</v>
      </c>
      <c r="D30" s="8">
        <f t="shared" ref="D30:D34" si="18">(C30/$C$35)*$H$3</f>
        <v>-16774432.940863037</v>
      </c>
      <c r="E30" s="8">
        <f t="shared" ref="E30:E34" si="19">+O21+D30</f>
        <v>59477404.569360711</v>
      </c>
      <c r="F30" s="8">
        <f t="shared" si="12"/>
        <v>56275272.326034725</v>
      </c>
      <c r="G30" s="8">
        <f t="shared" si="13"/>
        <v>68780888.398486882</v>
      </c>
      <c r="H30" s="8">
        <f t="shared" si="14"/>
        <v>0</v>
      </c>
      <c r="I30" s="21">
        <f t="shared" ref="I30:I34" si="20">+E30/$E$35</f>
        <v>0.16295179334071433</v>
      </c>
      <c r="J30" s="120">
        <f t="shared" si="15"/>
        <v>59477404.569360711</v>
      </c>
      <c r="K30" s="90">
        <f t="shared" si="16"/>
        <v>0.15372951643950558</v>
      </c>
      <c r="L30" s="107">
        <v>-23332280.137720883</v>
      </c>
      <c r="M30" s="8">
        <f t="shared" ref="M30:M34" si="21">+J30+L30</f>
        <v>36145124.431639828</v>
      </c>
      <c r="N30" s="12">
        <v>0</v>
      </c>
      <c r="O30" s="72">
        <f t="shared" si="17"/>
        <v>36145124.431639828</v>
      </c>
      <c r="P30" s="3">
        <v>256</v>
      </c>
      <c r="U30" s="93"/>
    </row>
    <row r="31" spans="1:23" s="15" customFormat="1" ht="15.6" x14ac:dyDescent="0.3">
      <c r="A31" s="3">
        <v>257</v>
      </c>
      <c r="B31" s="3" t="s">
        <v>6</v>
      </c>
      <c r="C31" s="98">
        <v>1474.188000000001</v>
      </c>
      <c r="D31" s="8">
        <f t="shared" si="18"/>
        <v>-9818683.1647265218</v>
      </c>
      <c r="E31" s="8">
        <f t="shared" si="19"/>
        <v>62282803.798986733</v>
      </c>
      <c r="F31" s="8">
        <f t="shared" si="12"/>
        <v>67663109.147051662</v>
      </c>
      <c r="G31" s="8">
        <f t="shared" si="13"/>
        <v>82699355.624174252</v>
      </c>
      <c r="H31" s="8">
        <f t="shared" si="14"/>
        <v>5380305.3480649292</v>
      </c>
      <c r="I31" s="21">
        <f t="shared" si="20"/>
        <v>0.17063781862736097</v>
      </c>
      <c r="J31" s="120">
        <f t="shared" si="15"/>
        <v>67663109.147051662</v>
      </c>
      <c r="K31" s="90">
        <f t="shared" si="16"/>
        <v>0.17488686880812798</v>
      </c>
      <c r="L31" s="107">
        <v>973890.87747733481</v>
      </c>
      <c r="M31" s="8">
        <f t="shared" si="21"/>
        <v>68637000.024528995</v>
      </c>
      <c r="N31" s="13">
        <v>5000000</v>
      </c>
      <c r="O31" s="72">
        <f t="shared" si="17"/>
        <v>73637000.024528995</v>
      </c>
      <c r="P31" s="3">
        <v>257</v>
      </c>
      <c r="U31" s="93"/>
    </row>
    <row r="32" spans="1:23" s="15" customFormat="1" ht="15.6" x14ac:dyDescent="0.3">
      <c r="A32" s="3">
        <v>259</v>
      </c>
      <c r="B32" s="3" t="s">
        <v>4</v>
      </c>
      <c r="C32" s="98">
        <v>720.87</v>
      </c>
      <c r="D32" s="8">
        <f t="shared" si="18"/>
        <v>-4801283.2372508822</v>
      </c>
      <c r="E32" s="8">
        <f t="shared" si="19"/>
        <v>74913032.82657735</v>
      </c>
      <c r="F32" s="8">
        <f t="shared" si="12"/>
        <v>64025911.815513037</v>
      </c>
      <c r="G32" s="8">
        <f t="shared" si="13"/>
        <v>78253892.218960389</v>
      </c>
      <c r="H32" s="8">
        <f>+J32-E32</f>
        <v>0</v>
      </c>
      <c r="I32" s="21">
        <f t="shared" si="20"/>
        <v>0.20524118582623938</v>
      </c>
      <c r="J32" s="120">
        <f t="shared" si="15"/>
        <v>74913032.82657735</v>
      </c>
      <c r="K32" s="90">
        <f t="shared" si="16"/>
        <v>0.19362553552612638</v>
      </c>
      <c r="L32" s="107">
        <v>9282492.3487848993</v>
      </c>
      <c r="M32" s="8">
        <f t="shared" si="21"/>
        <v>84195525.175362244</v>
      </c>
      <c r="N32" s="14">
        <v>0</v>
      </c>
      <c r="O32" s="72">
        <f t="shared" si="17"/>
        <v>84195525.175362244</v>
      </c>
      <c r="P32" s="3">
        <v>259</v>
      </c>
      <c r="U32" s="93"/>
    </row>
    <row r="33" spans="1:21" s="15" customFormat="1" ht="15.6" x14ac:dyDescent="0.3">
      <c r="A33" s="3">
        <v>261</v>
      </c>
      <c r="B33" s="3" t="s">
        <v>5</v>
      </c>
      <c r="C33" s="98">
        <v>640.6</v>
      </c>
      <c r="D33" s="8">
        <f t="shared" si="18"/>
        <v>-4266652.8525017202</v>
      </c>
      <c r="E33" s="8">
        <f t="shared" si="19"/>
        <v>61144820.210325442</v>
      </c>
      <c r="F33" s="8">
        <f t="shared" si="12"/>
        <v>64860822.72002887</v>
      </c>
      <c r="G33" s="8">
        <f t="shared" si="13"/>
        <v>79274338.880035296</v>
      </c>
      <c r="H33" s="8">
        <f t="shared" si="14"/>
        <v>3716002.5097034276</v>
      </c>
      <c r="I33" s="21">
        <f t="shared" si="20"/>
        <v>0.16752005537075468</v>
      </c>
      <c r="J33" s="120">
        <f t="shared" si="15"/>
        <v>64860822.72002887</v>
      </c>
      <c r="K33" s="90">
        <f t="shared" si="16"/>
        <v>0.16764388064362554</v>
      </c>
      <c r="L33" s="107">
        <v>16723986.287727006</v>
      </c>
      <c r="M33" s="8">
        <f t="shared" si="21"/>
        <v>81584809.007755876</v>
      </c>
      <c r="N33" s="14">
        <v>0</v>
      </c>
      <c r="O33" s="72">
        <f t="shared" si="17"/>
        <v>81584809.007755876</v>
      </c>
      <c r="P33" s="3">
        <v>261</v>
      </c>
      <c r="U33" s="93"/>
    </row>
    <row r="34" spans="1:21" s="15" customFormat="1" ht="16.2" thickBot="1" x14ac:dyDescent="0.35">
      <c r="A34" s="3">
        <v>263</v>
      </c>
      <c r="B34" s="3" t="s">
        <v>3</v>
      </c>
      <c r="C34" s="98">
        <v>692.05999999999983</v>
      </c>
      <c r="D34" s="8">
        <f t="shared" si="18"/>
        <v>-4609397.0857045576</v>
      </c>
      <c r="E34" s="8">
        <f t="shared" si="19"/>
        <v>39539962.807057939</v>
      </c>
      <c r="F34" s="8">
        <f t="shared" si="12"/>
        <v>52340107.542801715</v>
      </c>
      <c r="G34" s="8">
        <f t="shared" si="13"/>
        <v>63971242.552313209</v>
      </c>
      <c r="H34" s="8">
        <f t="shared" si="14"/>
        <v>12800144.735743776</v>
      </c>
      <c r="I34" s="21">
        <f t="shared" si="20"/>
        <v>0.10832866522481631</v>
      </c>
      <c r="J34" s="121">
        <f t="shared" si="15"/>
        <v>52340107.542801715</v>
      </c>
      <c r="K34" s="91">
        <f t="shared" si="16"/>
        <v>0.13528195255331585</v>
      </c>
      <c r="L34" s="107">
        <v>-15721386.988952842</v>
      </c>
      <c r="M34" s="8">
        <f t="shared" si="21"/>
        <v>36618720.553848878</v>
      </c>
      <c r="N34" s="14">
        <v>0</v>
      </c>
      <c r="O34" s="72">
        <f t="shared" si="17"/>
        <v>36618720.553848878</v>
      </c>
      <c r="P34" s="3">
        <v>263</v>
      </c>
      <c r="U34" s="93"/>
    </row>
    <row r="35" spans="1:21" s="15" customFormat="1" ht="18.600000000000001" thickBot="1" x14ac:dyDescent="0.4">
      <c r="C35" s="15">
        <f>SUM(C29:C34)</f>
        <v>6756.3500000000013</v>
      </c>
      <c r="D35" s="16">
        <f t="shared" ref="D35:E35" si="22">SUM(D29:D34)</f>
        <v>-45000000</v>
      </c>
      <c r="E35" s="16">
        <f t="shared" si="22"/>
        <v>364999999.99999988</v>
      </c>
      <c r="G35" s="16">
        <f>SUM(H29:H34)</f>
        <v>21896452.593512133</v>
      </c>
      <c r="H35" s="16"/>
      <c r="J35" s="16">
        <f>SUM(J29:J34)</f>
        <v>386896452.59351212</v>
      </c>
      <c r="L35" s="16">
        <f>SUM(L29:L34)</f>
        <v>-17179400.407404471</v>
      </c>
      <c r="M35" s="16">
        <f>SUM(M29:M34)</f>
        <v>369717052.18610758</v>
      </c>
      <c r="N35" s="16">
        <f>SUM(N29:N34)</f>
        <v>5000000</v>
      </c>
      <c r="O35" s="33">
        <f>SUM(O29:O34)</f>
        <v>374717052.18610758</v>
      </c>
      <c r="U35" s="93"/>
    </row>
    <row r="36" spans="1:21" ht="15" thickBot="1" x14ac:dyDescent="0.35">
      <c r="C36" s="4"/>
      <c r="F36" s="74"/>
      <c r="G36" s="74"/>
      <c r="H36" s="74"/>
      <c r="I36" s="64"/>
      <c r="J36" s="60"/>
      <c r="N36" s="79"/>
      <c r="O36" s="78"/>
      <c r="Q36" s="15"/>
      <c r="U36" s="77"/>
    </row>
    <row r="37" spans="1:21" ht="78" x14ac:dyDescent="0.6">
      <c r="A37" s="43" t="s">
        <v>22</v>
      </c>
      <c r="B37" s="44"/>
      <c r="C37" s="49" t="s">
        <v>43</v>
      </c>
      <c r="D37" s="94" t="s">
        <v>35</v>
      </c>
      <c r="E37" s="80" t="s">
        <v>37</v>
      </c>
      <c r="F37" s="111" t="s">
        <v>47</v>
      </c>
      <c r="G37" s="113" t="s">
        <v>48</v>
      </c>
      <c r="I37" s="45"/>
      <c r="J37" s="45"/>
      <c r="K37" s="45"/>
      <c r="L37" s="45"/>
      <c r="M37" s="45"/>
      <c r="N37" s="44"/>
      <c r="O37" s="83">
        <f>377956000-26600000</f>
        <v>351356000</v>
      </c>
      <c r="P37" s="44"/>
    </row>
    <row r="38" spans="1:21" x14ac:dyDescent="0.3">
      <c r="A38" s="3">
        <v>251</v>
      </c>
      <c r="B38" s="3" t="s">
        <v>2</v>
      </c>
      <c r="C38" s="62">
        <f t="shared" ref="C38:C43" si="23">+O29</f>
        <v>62535872.992971785</v>
      </c>
      <c r="D38" s="95">
        <v>43290711</v>
      </c>
      <c r="E38" s="81">
        <f t="shared" ref="E38:E43" si="24">+C38-D38</f>
        <v>19245161.992971785</v>
      </c>
      <c r="F38" s="109">
        <v>-579922</v>
      </c>
      <c r="G38" s="59">
        <f>+E38+F38</f>
        <v>18665239.992971785</v>
      </c>
      <c r="H38"/>
      <c r="I38" s="87"/>
      <c r="J38" s="75"/>
      <c r="K38" s="101"/>
      <c r="L38" s="46"/>
      <c r="M38" s="46"/>
      <c r="N38" s="59"/>
      <c r="O38" s="59">
        <f>+O37-O35</f>
        <v>-23361052.186107576</v>
      </c>
    </row>
    <row r="39" spans="1:21" x14ac:dyDescent="0.3">
      <c r="A39" s="3">
        <v>256</v>
      </c>
      <c r="B39" s="15" t="s">
        <v>27</v>
      </c>
      <c r="C39" s="62">
        <f t="shared" si="23"/>
        <v>36145124.431639828</v>
      </c>
      <c r="D39" s="95">
        <v>61919150</v>
      </c>
      <c r="E39" s="81">
        <f t="shared" si="24"/>
        <v>-25774025.568360172</v>
      </c>
      <c r="F39" s="109">
        <v>-4336241</v>
      </c>
      <c r="G39" s="59">
        <f t="shared" ref="G39:G43" si="25">+E39+F39</f>
        <v>-30110266.568360172</v>
      </c>
      <c r="H39"/>
      <c r="I39" s="87"/>
      <c r="J39" s="75"/>
      <c r="K39" s="101"/>
      <c r="L39" s="46"/>
      <c r="M39" s="46"/>
      <c r="O39" s="59"/>
    </row>
    <row r="40" spans="1:21" x14ac:dyDescent="0.3">
      <c r="A40" s="3">
        <v>257</v>
      </c>
      <c r="B40" s="3" t="s">
        <v>6</v>
      </c>
      <c r="C40" s="62">
        <f t="shared" si="23"/>
        <v>73637000.024528995</v>
      </c>
      <c r="D40" s="95">
        <v>83789063</v>
      </c>
      <c r="E40" s="81">
        <f t="shared" si="24"/>
        <v>-10152062.975471005</v>
      </c>
      <c r="F40" s="109">
        <v>-537383</v>
      </c>
      <c r="G40" s="59">
        <f t="shared" si="25"/>
        <v>-10689445.975471005</v>
      </c>
      <c r="H40"/>
      <c r="I40" s="87"/>
      <c r="J40" s="75"/>
      <c r="K40" s="101"/>
      <c r="L40" s="46"/>
      <c r="M40" s="46"/>
      <c r="O40" s="59"/>
      <c r="P40" s="4"/>
      <c r="S40" s="4"/>
      <c r="T40" s="77"/>
    </row>
    <row r="41" spans="1:21" x14ac:dyDescent="0.3">
      <c r="A41" s="3">
        <v>259</v>
      </c>
      <c r="B41" s="3" t="s">
        <v>4</v>
      </c>
      <c r="C41" s="62">
        <f t="shared" si="23"/>
        <v>84195525.175362244</v>
      </c>
      <c r="D41" s="95">
        <v>55746886</v>
      </c>
      <c r="E41" s="81">
        <f t="shared" si="24"/>
        <v>28448639.175362244</v>
      </c>
      <c r="F41" s="109">
        <v>-55224</v>
      </c>
      <c r="G41" s="59">
        <f t="shared" si="25"/>
        <v>28393415.175362244</v>
      </c>
      <c r="H41"/>
      <c r="I41" s="87"/>
      <c r="J41" s="75"/>
      <c r="K41" s="101"/>
      <c r="L41" s="46"/>
      <c r="M41" s="47"/>
      <c r="P41" s="4"/>
      <c r="S41" s="4"/>
      <c r="T41" s="77"/>
    </row>
    <row r="42" spans="1:21" x14ac:dyDescent="0.3">
      <c r="A42" s="3">
        <v>261</v>
      </c>
      <c r="B42" s="3" t="s">
        <v>5</v>
      </c>
      <c r="C42" s="62">
        <f t="shared" si="23"/>
        <v>81584809.007755876</v>
      </c>
      <c r="D42" s="95">
        <v>60616970</v>
      </c>
      <c r="E42" s="81">
        <f t="shared" si="24"/>
        <v>20967839.007755876</v>
      </c>
      <c r="F42" s="109">
        <v>4030327</v>
      </c>
      <c r="G42" s="59">
        <f t="shared" si="25"/>
        <v>24998166.007755876</v>
      </c>
      <c r="H42"/>
      <c r="I42" s="87"/>
      <c r="J42" s="75"/>
      <c r="K42" s="101"/>
      <c r="L42" s="46"/>
      <c r="M42" s="46"/>
      <c r="P42" s="4"/>
      <c r="S42" s="4"/>
      <c r="T42" s="77"/>
    </row>
    <row r="43" spans="1:21" ht="15" thickBot="1" x14ac:dyDescent="0.35">
      <c r="A43" s="3">
        <v>263</v>
      </c>
      <c r="B43" s="3" t="s">
        <v>3</v>
      </c>
      <c r="C43" s="63">
        <f t="shared" si="23"/>
        <v>36618720.553848878</v>
      </c>
      <c r="D43" s="96">
        <v>36307557</v>
      </c>
      <c r="E43" s="82">
        <f t="shared" si="24"/>
        <v>311163.55384887755</v>
      </c>
      <c r="F43" s="110">
        <v>3095739</v>
      </c>
      <c r="G43" s="59">
        <f t="shared" si="25"/>
        <v>3406902.5538488775</v>
      </c>
      <c r="H43"/>
      <c r="I43" s="87"/>
      <c r="J43" s="75"/>
      <c r="K43" s="101"/>
      <c r="L43" s="46"/>
      <c r="M43" s="46"/>
      <c r="P43" s="4"/>
      <c r="S43" s="4"/>
      <c r="T43" s="77"/>
    </row>
    <row r="44" spans="1:21" x14ac:dyDescent="0.3">
      <c r="C44" s="16">
        <f>SUM(C38:C43)</f>
        <v>374717052.18610758</v>
      </c>
      <c r="D44" s="97">
        <f>SUM(D38:D43)</f>
        <v>341670337</v>
      </c>
      <c r="E44" s="68">
        <f t="shared" ref="E44" si="26">SUM(E38:E43)</f>
        <v>33046715.186107606</v>
      </c>
      <c r="F44" s="16">
        <f>SUM(F38:F43)</f>
        <v>1617296</v>
      </c>
      <c r="G44" s="112">
        <f>SUM(G38:G43)</f>
        <v>34664011.186107606</v>
      </c>
      <c r="H44" s="75"/>
      <c r="I44" s="75"/>
      <c r="L44" s="46"/>
      <c r="M44" s="46"/>
      <c r="P44" s="4"/>
      <c r="S44" s="4"/>
      <c r="T44" s="77"/>
    </row>
    <row r="45" spans="1:21" x14ac:dyDescent="0.3">
      <c r="P45" s="4"/>
      <c r="S45" s="4"/>
      <c r="T45" s="77"/>
    </row>
    <row r="50" spans="1:10" x14ac:dyDescent="0.3">
      <c r="E50" s="73"/>
      <c r="F50" s="75"/>
    </row>
    <row r="51" spans="1:10" x14ac:dyDescent="0.3">
      <c r="C51" s="6"/>
      <c r="D51" s="6"/>
      <c r="E51" s="73"/>
      <c r="F51" s="75"/>
    </row>
    <row r="52" spans="1:10" customFormat="1" x14ac:dyDescent="0.3">
      <c r="A52" s="3"/>
      <c r="B52" s="3"/>
      <c r="E52" s="73"/>
      <c r="F52" s="75"/>
      <c r="G52" s="3"/>
      <c r="H52" s="3"/>
      <c r="I52" s="3"/>
      <c r="J52" s="3"/>
    </row>
    <row r="53" spans="1:10" customFormat="1" x14ac:dyDescent="0.3">
      <c r="A53" s="3"/>
      <c r="B53" s="3"/>
      <c r="E53" s="73"/>
      <c r="F53" s="75"/>
      <c r="G53" s="3"/>
      <c r="H53" s="3"/>
      <c r="I53" s="3"/>
      <c r="J53" s="3"/>
    </row>
    <row r="54" spans="1:10" customFormat="1" x14ac:dyDescent="0.3">
      <c r="A54" s="3"/>
      <c r="B54" s="3"/>
      <c r="E54" s="73"/>
      <c r="F54" s="75"/>
    </row>
    <row r="55" spans="1:10" customFormat="1" x14ac:dyDescent="0.3">
      <c r="A55" s="3"/>
      <c r="B55" s="3"/>
      <c r="E55" s="73"/>
      <c r="F55" s="75"/>
    </row>
    <row r="56" spans="1:10" customFormat="1" x14ac:dyDescent="0.3">
      <c r="A56" s="3"/>
      <c r="B56" s="3"/>
      <c r="E56" s="73"/>
      <c r="F56" s="75"/>
    </row>
    <row r="57" spans="1:10" customFormat="1" x14ac:dyDescent="0.3">
      <c r="A57" s="3"/>
      <c r="B57" s="3"/>
      <c r="E57" t="s">
        <v>29</v>
      </c>
    </row>
    <row r="58" spans="1:10" customFormat="1" x14ac:dyDescent="0.3">
      <c r="A58" s="3"/>
      <c r="B58" s="3"/>
    </row>
    <row r="59" spans="1:10" customFormat="1" x14ac:dyDescent="0.3">
      <c r="A59" s="3"/>
      <c r="B59" s="3"/>
    </row>
    <row r="60" spans="1:10" customFormat="1" x14ac:dyDescent="0.3">
      <c r="A60" s="3"/>
      <c r="B60" s="3"/>
    </row>
  </sheetData>
  <mergeCells count="5">
    <mergeCell ref="A18:B18"/>
    <mergeCell ref="I18:K18"/>
    <mergeCell ref="L18:N18"/>
    <mergeCell ref="C18:E18"/>
    <mergeCell ref="F18:H18"/>
  </mergeCells>
  <pageMargins left="0.23622047244094491" right="0.23622047244094491" top="0.19685039370078741" bottom="0.35433070866141736" header="0.11811023622047245" footer="0.11811023622047245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C16" sqref="C16"/>
    </sheetView>
  </sheetViews>
  <sheetFormatPr defaultColWidth="9.109375" defaultRowHeight="18" x14ac:dyDescent="0.35"/>
  <cols>
    <col min="1" max="1" width="55.5546875" style="114" bestFit="1" customWidth="1"/>
    <col min="2" max="2" width="14.88671875" style="114" customWidth="1"/>
    <col min="3" max="3" width="15.5546875" style="114" bestFit="1" customWidth="1"/>
    <col min="4" max="4" width="31.5546875" style="114" customWidth="1"/>
    <col min="5" max="16384" width="9.109375" style="114"/>
  </cols>
  <sheetData>
    <row r="2" spans="1:4" x14ac:dyDescent="0.35">
      <c r="A2" s="115"/>
      <c r="B2" s="115">
        <v>2019</v>
      </c>
      <c r="C2" s="115">
        <v>2020</v>
      </c>
      <c r="D2" s="115" t="s">
        <v>42</v>
      </c>
    </row>
    <row r="3" spans="1:4" x14ac:dyDescent="0.35">
      <c r="A3" s="115" t="s">
        <v>2</v>
      </c>
      <c r="B3" s="119">
        <v>14349.972409999998</v>
      </c>
      <c r="C3" s="116">
        <v>521.01390276450604</v>
      </c>
      <c r="D3" s="117">
        <f>(C3/$C$9)/(B3/$B$9)</f>
        <v>0.97352297057060533</v>
      </c>
    </row>
    <row r="4" spans="1:4" x14ac:dyDescent="0.35">
      <c r="A4" s="118" t="s">
        <v>27</v>
      </c>
      <c r="B4" s="119">
        <v>10733.255599999999</v>
      </c>
      <c r="C4" s="116">
        <v>483.30833511904734</v>
      </c>
      <c r="D4" s="117">
        <f t="shared" ref="D4:D8" si="0">(C4/$C$9)/(B4/$B$9)</f>
        <v>1.2073710840432004</v>
      </c>
    </row>
    <row r="5" spans="1:4" x14ac:dyDescent="0.35">
      <c r="A5" s="115" t="s">
        <v>6</v>
      </c>
      <c r="B5" s="119">
        <v>13320.939136000001</v>
      </c>
      <c r="C5" s="116">
        <v>465.02732916666633</v>
      </c>
      <c r="D5" s="117">
        <f t="shared" si="0"/>
        <v>0.93603392615578163</v>
      </c>
    </row>
    <row r="6" spans="1:4" x14ac:dyDescent="0.35">
      <c r="A6" s="115" t="s">
        <v>4</v>
      </c>
      <c r="B6" s="119">
        <v>10663.620199999998</v>
      </c>
      <c r="C6" s="116">
        <v>502.14643035714283</v>
      </c>
      <c r="D6" s="117">
        <f t="shared" si="0"/>
        <v>1.2626229187443978</v>
      </c>
    </row>
    <row r="7" spans="1:4" x14ac:dyDescent="0.35">
      <c r="A7" s="115" t="s">
        <v>5</v>
      </c>
      <c r="B7" s="119">
        <v>11923.539654</v>
      </c>
      <c r="C7" s="116">
        <v>377.28972023353418</v>
      </c>
      <c r="D7" s="117">
        <f t="shared" si="0"/>
        <v>0.84843334590916153</v>
      </c>
    </row>
    <row r="8" spans="1:4" x14ac:dyDescent="0.35">
      <c r="A8" s="115" t="s">
        <v>3</v>
      </c>
      <c r="B8" s="119">
        <v>10077.383000000002</v>
      </c>
      <c r="C8" s="116">
        <v>301.73055734127001</v>
      </c>
      <c r="D8" s="117">
        <f t="shared" si="0"/>
        <v>0.80282241115019803</v>
      </c>
    </row>
    <row r="9" spans="1:4" x14ac:dyDescent="0.35">
      <c r="A9" s="115"/>
      <c r="B9" s="119">
        <f>SUM(B3:B8)</f>
        <v>71068.709999999992</v>
      </c>
      <c r="C9" s="119">
        <f>SUM(C3:C8)</f>
        <v>2650.516274982167</v>
      </c>
      <c r="D9" s="1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2020</vt:lpstr>
      <vt:lpstr>Oktatás változás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István</dc:creator>
  <cp:lastModifiedBy>Mózer  Krisztina</cp:lastModifiedBy>
  <cp:lastPrinted>2020-02-29T17:27:27Z</cp:lastPrinted>
  <dcterms:created xsi:type="dcterms:W3CDTF">2013-01-08T13:10:28Z</dcterms:created>
  <dcterms:modified xsi:type="dcterms:W3CDTF">2020-04-01T17:59:42Z</dcterms:modified>
</cp:coreProperties>
</file>